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I Calculator" sheetId="1" state="visible" r:id="rId3"/>
    <sheet name="Sourc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<sst xmlns="http://schemas.openxmlformats.org/spreadsheetml/2006/main" count="97" uniqueCount="97">
  <si>
    <t xml:space="preserve">Cooling Tower Gearbox Purge Mist: Cost Savings &amp; ROI Calculator</t>
  </si>
  <si>
    <t xml:space="preserve">Oil Mist Lubrication Institute | theoilmistinstitute.org | Keith Macaluso, CRL</t>
  </si>
  <si>
    <t xml:space="preserve">HOW TO USE: Replace the yellow cells (blue text) with your own plant's numbers. Everything else calculates. The values shown are the worked example from the article (4-cell tower).</t>
  </si>
  <si>
    <t xml:space="preserve">1. YOUR COOLING TOWER</t>
  </si>
  <si>
    <t xml:space="preserve">Number of fan gearboxes (cells)</t>
  </si>
  <si>
    <t xml:space="preserve">Count every cell, including spares and seasonal cells.</t>
  </si>
  <si>
    <t xml:space="preserve">Oil per gearbox (gallons)</t>
  </si>
  <si>
    <t xml:space="preserve">Right-angle CT fan reducers typically hold 10-30 gal (Mobil Productivity Pointer: Cooling Towers). Large refinery towers can hold more. Use your nameplate / OEM manual.</t>
  </si>
  <si>
    <t xml:space="preserve">Gear oil price ($/gallon)</t>
  </si>
  <si>
    <t xml:space="preserve">Assumption: premium synthetic gear oil, delivered. Use your purchase price.</t>
  </si>
  <si>
    <t xml:space="preserve">Disposal cost ($/gallon), incl. absorbents, drums, manifest</t>
  </si>
  <si>
    <t xml:space="preserve">Assumption. Contaminated oil, rags and absorbent pads leave as waste. Use your waste contractor rate.</t>
  </si>
  <si>
    <t xml:space="preserve">2. WHAT ONE GEARBOX OIL CHANGE TAKES TODAY</t>
  </si>
  <si>
    <t xml:space="preserve">Crew size (people)</t>
  </si>
  <si>
    <t xml:space="preserve">Example: 2 mechanics inside the fan stack, 1 attendant/hole watch, 1 rigger/signal on the ground, 1 operator for LOTO and cell isolation, 1 safety/permit writer.</t>
  </si>
  <si>
    <t xml:space="preserve">Hours per gearbox oil change (incl. permits, LOTO, drain, flush, fill)</t>
  </si>
  <si>
    <t xml:space="preserve">Assumption. CCJ (St. Charles Energy Center) reports a single SAMPLING entry took at least 2 hours; a full drain/flush/fill takes far longer.</t>
  </si>
  <si>
    <t xml:space="preserve">Fully burdened labor rate ($/hour)</t>
  </si>
  <si>
    <t xml:space="preserve">Assumption: Gulf Coast contract craft rate. Use your own.</t>
  </si>
  <si>
    <t xml:space="preserve">Crane cost per gearbox change ($)</t>
  </si>
  <si>
    <t xml:space="preserve">Assumption: operated crane day shared across cells, plus rigger. Set to 0 if drums go up by a fixed davit or elevator.</t>
  </si>
  <si>
    <t xml:space="preserve">Scaffolding / temporary platform per change ($)</t>
  </si>
  <si>
    <t xml:space="preserve">Assumption: erect + inspect + dismantle inside the fan stack. Set to 0 if you have a permanent platform.</t>
  </si>
  <si>
    <t xml:space="preserve">Permits, gas testing, rescue standby per change ($)</t>
  </si>
  <si>
    <t xml:space="preserve">Confined space entry permit, atmospheric testing, fall protection, rescue plan, LOTO.</t>
  </si>
  <si>
    <t xml:space="preserve">Lost cooling / production per change ($)</t>
  </si>
  <si>
    <t xml:space="preserve">Conservative default is $0. In summer, a cell out of service can cost far more than everything else on this sheet.</t>
  </si>
  <si>
    <t xml:space="preserve">3. RISK (EXPECTED COST PER OIL CHANGE)</t>
  </si>
  <si>
    <t xml:space="preserve">Chance of an oil spill per oil change</t>
  </si>
  <si>
    <t xml:space="preserve">Assumption. Hoses, drums and drain valves at height, over a water basin.</t>
  </si>
  <si>
    <t xml:space="preserve">Cost of a spill (cleanup, reporting, basin treatment)</t>
  </si>
  <si>
    <t xml:space="preserve">Assumption. Oil in the basin goes into the circulating water system.</t>
  </si>
  <si>
    <t xml:space="preserve">Chance of a recordable injury per oil change</t>
  </si>
  <si>
    <t xml:space="preserve">Assumption. Work at height, confined space, suspended loads, wet surfaces.</t>
  </si>
  <si>
    <t xml:space="preserve">Cost per medically consulted work injury</t>
  </si>
  <si>
    <t xml:space="preserve">National Safety Council, Injury Facts: $48,000 per medically consulted injury (2024).</t>
  </si>
  <si>
    <t xml:space="preserve">4. OIL CHANGES AND FAILURES</t>
  </si>
  <si>
    <t xml:space="preserve">Oil changes per gearbox per year TODAY</t>
  </si>
  <si>
    <t xml:space="preserve">Ehlert: CT gearbox oil typically changed twice a year without purge mist.</t>
  </si>
  <si>
    <t xml:space="preserve">Oil change interval WITH purge mist (years)</t>
  </si>
  <si>
    <t xml:space="preserve">Ehlert: once every 2-3 years with purge mist, confirmed by oil sampling. Field users report much longer. 2 years is conservative.</t>
  </si>
  <si>
    <t xml:space="preserve">Gearbox failures per year TODAY (whole tower)</t>
  </si>
  <si>
    <t xml:space="preserve">Assumption: one failure every 2 years. The Pennsylvania refinery case had 2 failures/yr on ONE cell.</t>
  </si>
  <si>
    <t xml:space="preserve">Cost per gearbox failure ($)</t>
  </si>
  <si>
    <t xml:space="preserve">Pennsylvania refinery case: about $50,000 per repair (Macaluso, OMLI).</t>
  </si>
  <si>
    <t xml:space="preserve">Failure reduction with purge mist</t>
  </si>
  <si>
    <t xml:space="preserve">Users report about 40% fewer failures in wet-sump equipment purged with oil mist (Macaluso, Oil Mist 101). The PA refinery saw 100%.</t>
  </si>
  <si>
    <t xml:space="preserve">5. OIL MIST SYSTEM</t>
  </si>
  <si>
    <t xml:space="preserve">Installed cost of purge mist to the tower ($)</t>
  </si>
  <si>
    <t xml:space="preserve">Assumption: header extension from an existing generator, drops, reclassifiers, vent collection, and drain/sample lines piped outside the fan stack. Get a quote for your tower.</t>
  </si>
  <si>
    <t xml:space="preserve">Annual mist oil + PM for the tower ($/yr)</t>
  </si>
  <si>
    <t xml:space="preserve">Assumption.</t>
  </si>
  <si>
    <t xml:space="preserve">Oil samples per gearbox per year</t>
  </si>
  <si>
    <t xml:space="preserve">Sampling is what lets you safely stretch the interval.</t>
  </si>
  <si>
    <t xml:space="preserve">Cost per oil sample incl. labor ($)</t>
  </si>
  <si>
    <t xml:space="preserve">Assumption. Pipe a sample point outside the fan stack so sampling needs no entry.</t>
  </si>
  <si>
    <t xml:space="preserve">Evaluation period (years)</t>
  </si>
  <si>
    <t xml:space="preserve">RESULTS: COST OF ONE GEARBOX OIL CHANGE</t>
  </si>
  <si>
    <t xml:space="preserve">New oil</t>
  </si>
  <si>
    <t xml:space="preserve">Disposal of old oil and waste</t>
  </si>
  <si>
    <t xml:space="preserve">Labor (crew x hours x rate)</t>
  </si>
  <si>
    <t xml:space="preserve">Crane</t>
  </si>
  <si>
    <t xml:space="preserve">Scaffolding</t>
  </si>
  <si>
    <t xml:space="preserve">Permits and safety standby</t>
  </si>
  <si>
    <t xml:space="preserve">Lost cooling / production</t>
  </si>
  <si>
    <t xml:space="preserve">Spill risk (expected)</t>
  </si>
  <si>
    <t xml:space="preserve">Injury risk (expected)</t>
  </si>
  <si>
    <t xml:space="preserve">TOTAL COST PER GEARBOX OIL CHANGE</t>
  </si>
  <si>
    <t xml:space="preserve">RESULTS: ANNUAL COST, TODAY vs. PURGE MIST</t>
  </si>
  <si>
    <t xml:space="preserve">Oil changes per year, whole tower, TODAY</t>
  </si>
  <si>
    <t xml:space="preserve">Oil changes per year, whole tower, WITH MIST</t>
  </si>
  <si>
    <t xml:space="preserve">Oil change cost TODAY ($/yr)</t>
  </si>
  <si>
    <t xml:space="preserve">Gearbox failure cost TODAY ($/yr)</t>
  </si>
  <si>
    <t xml:space="preserve">TOTAL TODAY ($/yr)</t>
  </si>
  <si>
    <t xml:space="preserve">Oil change cost WITH MIST ($/yr)</t>
  </si>
  <si>
    <t xml:space="preserve">Gearbox failure cost WITH MIST ($/yr)</t>
  </si>
  <si>
    <t xml:space="preserve">Oil sampling ($/yr)</t>
  </si>
  <si>
    <t xml:space="preserve">Mist oil + PM ($/yr)</t>
  </si>
  <si>
    <t xml:space="preserve">TOTAL WITH MIST ($/yr)</t>
  </si>
  <si>
    <t xml:space="preserve">THE BOTTOM LINE</t>
  </si>
  <si>
    <t xml:space="preserve">Annual savings ($/yr)</t>
  </si>
  <si>
    <t xml:space="preserve">Simple payback (months)</t>
  </si>
  <si>
    <t xml:space="preserve">Net savings over evaluation period ($)</t>
  </si>
  <si>
    <t xml:space="preserve">Return on investment over evaluation period</t>
  </si>
  <si>
    <t xml:space="preserve">Oil changes avoided per year</t>
  </si>
  <si>
    <t xml:space="preserve">High-risk work hours avoided per year (at height / confined space)</t>
  </si>
  <si>
    <t xml:space="preserve">Drum lifts avoided per year (full drums up + used oil down)</t>
  </si>
  <si>
    <t xml:space="preserve">A full 55-gal drum of gear oil weighs roughly 450 lb.</t>
  </si>
  <si>
    <t xml:space="preserve">Gallons of oil bought and disposed avoided per year</t>
  </si>
  <si>
    <t xml:space="preserve">Sources behind the default values (everything else is a labeled assumption you should replace):</t>
  </si>
  <si>
    <t xml:space="preserve">Ehlert, D. (2011). Getting the Facts on Oil Mist Lubrication. Texas A&amp;M Turbomachinery Laboratory Tutorial. https://turbolab.tamu.edu/wp-content/uploads/2018/08/Tutorial-08.pdf  (CT gearbox oil changes 2x/yr -&gt; once every 2-3 yrs with purge mist; oil sampling; vent back-pressure / false-high sight glass)</t>
  </si>
  <si>
    <t xml:space="preserve">Mobil Productivity Pointer: Cooling Towers. https://www.global.mobil.com/-/media/files/global/us/industrial/productivity-pointer/cooling-towers-productivy.pdf  (10-30 gal per right-angle drive)</t>
  </si>
  <si>
    <t xml:space="preserve">Combined Cycle Journal, Cooling-tower fan gearbox mod facilitates oil sampling, recharge (St. Charles Energy Center). https://www.ccj-online.com/?p=16692  (entry, LOTO, shroud removal, fall protection; 2+ hours per sampling entry)</t>
  </si>
  <si>
    <t xml:space="preserve">National Safety Council, Injury Facts: Work Injury Costs. https://injuryfacts.nsc.org/work/costs/work-injury-costs/  ($48,000 per medically consulted injury, 2024)</t>
  </si>
  <si>
    <t xml:space="preserve">Macaluso, K. Extend Asset Life with Oil Mist for Storage Preservation. OMLI. https://www.theoilmistinstitute.org/articles/extend-asset-life-storage-preservation.html  (PA refinery: 2 failures/yr x $50,000, eliminated; payback &lt; 1 yr)</t>
  </si>
  <si>
    <t xml:space="preserve">Macaluso, K. My Oil Mist Lubrication Elevator Talk (Oil Mist 101). OMLI. https://www.theoilmistinstitute.org/articles/oil-mist-101.html  (40% fewer failures in purged wet-sump equipment; oil change intervals x8)</t>
  </si>
  <si>
    <t xml:space="preserve">Disclaimer: This calculator is an educational screening tool. Results depend entirely on the inputs. Verify with your own cost data and a site assessment.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</si>
</sst>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\$#,##0;&quot;($&quot;#,##0\);\-"/>
    <numFmt numFmtId="167" formatCode="#,##0.0"/>
    <numFmt numFmtId="168" formatCode="0.0%"/>
    <numFmt numFmtId="169" formatCode="0.0"/>
    <numFmt numFmtId="170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72040"/>
      <name val="Arial"/>
      <family val="0"/>
      <charset val="1"/>
    </font>
    <font>
      <i val="true"/>
      <sz val="11"/>
      <color rgb="FF5C6B7A"/>
      <name val="Arial"/>
      <family val="0"/>
      <charset val="1"/>
    </font>
    <font>
      <b val="true"/>
      <sz val="11"/>
      <color rgb="FF1F8C2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5C6B7A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72040"/>
        <bgColor rgb="FF003300"/>
      </patternFill>
    </fill>
    <fill>
      <patternFill patternType="solid">
        <fgColor rgb="FFFFFF00"/>
        <bgColor rgb="FFFFFF00"/>
      </patternFill>
    </fill>
    <fill>
      <patternFill patternType="solid">
        <fgColor rgb="FFEEF4F9"/>
        <bgColor rgb="FFFFFFFF"/>
      </patternFill>
    </fill>
    <fill>
      <patternFill patternType="solid">
        <fgColor rgb="FFE2F0D9"/>
        <bgColor rgb="FFEEF4F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EF4F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B7A"/>
      <rgbColor rgb="FF969696"/>
      <rgbColor rgb="FF072040"/>
      <rgbColor rgb="FF1F8C2E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30" hidden="false" customHeight="true" outlineLevel="0" collapsed="false">
      <c r="A3" s="3" t="s">
        <v>2</v>
      </c>
      <c r="B3" s="3"/>
      <c r="C3" s="3"/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4</v>
      </c>
      <c r="C6" s="8" t="s">
        <v>5</v>
      </c>
    </row>
    <row r="7" customFormat="false" ht="22.35" hidden="false" customHeight="false" outlineLevel="0" collapsed="false">
      <c r="A7" s="6" t="s">
        <v>6</v>
      </c>
      <c r="B7" s="7" t="n">
        <v>30</v>
      </c>
      <c r="C7" s="8" t="s">
        <v>7</v>
      </c>
    </row>
    <row r="8" customFormat="false" ht="15" hidden="false" customHeight="false" outlineLevel="0" collapsed="false">
      <c r="A8" s="6" t="s">
        <v>8</v>
      </c>
      <c r="B8" s="9" t="n">
        <v>35</v>
      </c>
      <c r="C8" s="8" t="s">
        <v>9</v>
      </c>
    </row>
    <row r="9" customFormat="false" ht="22.35" hidden="false" customHeight="false" outlineLevel="0" collapsed="false">
      <c r="A9" s="6" t="s">
        <v>10</v>
      </c>
      <c r="B9" s="9" t="n">
        <v>5</v>
      </c>
      <c r="C9" s="8" t="s">
        <v>11</v>
      </c>
    </row>
    <row r="10" customFormat="false" ht="15" hidden="false" customHeight="false" outlineLevel="0" collapsed="false">
      <c r="A10" s="10"/>
      <c r="B10" s="10"/>
      <c r="C10" s="10"/>
    </row>
    <row r="11" customFormat="false" ht="15" hidden="false" customHeight="false" outlineLevel="0" collapsed="false">
      <c r="A11" s="4" t="s">
        <v>12</v>
      </c>
      <c r="B11" s="5"/>
      <c r="C11" s="5"/>
    </row>
    <row r="12" customFormat="false" ht="22.35" hidden="false" customHeight="false" outlineLevel="0" collapsed="false">
      <c r="A12" s="6" t="s">
        <v>13</v>
      </c>
      <c r="B12" s="7" t="n">
        <v>6</v>
      </c>
      <c r="C12" s="8" t="s">
        <v>14</v>
      </c>
    </row>
    <row r="13" customFormat="false" ht="22.35" hidden="false" customHeight="false" outlineLevel="0" collapsed="false">
      <c r="A13" s="6" t="s">
        <v>15</v>
      </c>
      <c r="B13" s="11" t="n">
        <v>8</v>
      </c>
      <c r="C13" s="8" t="s">
        <v>16</v>
      </c>
    </row>
    <row r="14" customFormat="false" ht="15" hidden="false" customHeight="false" outlineLevel="0" collapsed="false">
      <c r="A14" s="6" t="s">
        <v>17</v>
      </c>
      <c r="B14" s="9" t="n">
        <v>95</v>
      </c>
      <c r="C14" s="8" t="s">
        <v>18</v>
      </c>
    </row>
    <row r="15" customFormat="false" ht="22.35" hidden="false" customHeight="false" outlineLevel="0" collapsed="false">
      <c r="A15" s="6" t="s">
        <v>19</v>
      </c>
      <c r="B15" s="9" t="n">
        <v>1500</v>
      </c>
      <c r="C15" s="8" t="s">
        <v>20</v>
      </c>
    </row>
    <row r="16" customFormat="false" ht="22.35" hidden="false" customHeight="false" outlineLevel="0" collapsed="false">
      <c r="A16" s="6" t="s">
        <v>21</v>
      </c>
      <c r="B16" s="9" t="n">
        <v>3000</v>
      </c>
      <c r="C16" s="8" t="s">
        <v>22</v>
      </c>
    </row>
    <row r="17" customFormat="false" ht="15" hidden="false" customHeight="false" outlineLevel="0" collapsed="false">
      <c r="A17" s="6" t="s">
        <v>23</v>
      </c>
      <c r="B17" s="9" t="n">
        <v>500</v>
      </c>
      <c r="C17" s="8" t="s">
        <v>24</v>
      </c>
    </row>
    <row r="18" customFormat="false" ht="22.35" hidden="false" customHeight="false" outlineLevel="0" collapsed="false">
      <c r="A18" s="6" t="s">
        <v>25</v>
      </c>
      <c r="B18" s="9" t="n">
        <v>0</v>
      </c>
      <c r="C18" s="8" t="s">
        <v>26</v>
      </c>
    </row>
    <row r="19" customFormat="false" ht="15" hidden="false" customHeight="false" outlineLevel="0" collapsed="false">
      <c r="A19" s="10"/>
      <c r="B19" s="10"/>
      <c r="C19" s="10"/>
    </row>
    <row r="20" customFormat="false" ht="15" hidden="false" customHeight="false" outlineLevel="0" collapsed="false">
      <c r="A20" s="4" t="s">
        <v>27</v>
      </c>
      <c r="B20" s="5"/>
      <c r="C20" s="5"/>
    </row>
    <row r="21" customFormat="false" ht="15" hidden="false" customHeight="false" outlineLevel="0" collapsed="false">
      <c r="A21" s="6" t="s">
        <v>28</v>
      </c>
      <c r="B21" s="12" t="n">
        <v>0.02</v>
      </c>
      <c r="C21" s="8" t="s">
        <v>29</v>
      </c>
    </row>
    <row r="22" customFormat="false" ht="15" hidden="false" customHeight="false" outlineLevel="0" collapsed="false">
      <c r="A22" s="6" t="s">
        <v>30</v>
      </c>
      <c r="B22" s="9" t="n">
        <v>25000</v>
      </c>
      <c r="C22" s="8" t="s">
        <v>31</v>
      </c>
    </row>
    <row r="23" customFormat="false" ht="15" hidden="false" customHeight="false" outlineLevel="0" collapsed="false">
      <c r="A23" s="6" t="s">
        <v>32</v>
      </c>
      <c r="B23" s="12" t="n">
        <v>0.01</v>
      </c>
      <c r="C23" s="8" t="s">
        <v>33</v>
      </c>
    </row>
    <row r="24" customFormat="false" ht="15" hidden="false" customHeight="false" outlineLevel="0" collapsed="false">
      <c r="A24" s="6" t="s">
        <v>34</v>
      </c>
      <c r="B24" s="9" t="n">
        <v>48000</v>
      </c>
      <c r="C24" s="8" t="s">
        <v>35</v>
      </c>
    </row>
    <row r="25" customFormat="false" ht="15" hidden="false" customHeight="false" outlineLevel="0" collapsed="false">
      <c r="A25" s="10"/>
      <c r="B25" s="10"/>
      <c r="C25" s="10"/>
    </row>
    <row r="26" customFormat="false" ht="15" hidden="false" customHeight="false" outlineLevel="0" collapsed="false">
      <c r="A26" s="4" t="s">
        <v>36</v>
      </c>
      <c r="B26" s="5"/>
      <c r="C26" s="5"/>
    </row>
    <row r="27" customFormat="false" ht="15" hidden="false" customHeight="false" outlineLevel="0" collapsed="false">
      <c r="A27" s="6" t="s">
        <v>37</v>
      </c>
      <c r="B27" s="11" t="n">
        <v>2</v>
      </c>
      <c r="C27" s="8" t="s">
        <v>38</v>
      </c>
    </row>
    <row r="28" customFormat="false" ht="22.35" hidden="false" customHeight="false" outlineLevel="0" collapsed="false">
      <c r="A28" s="6" t="s">
        <v>39</v>
      </c>
      <c r="B28" s="11" t="n">
        <v>2</v>
      </c>
      <c r="C28" s="8" t="s">
        <v>40</v>
      </c>
    </row>
    <row r="29" customFormat="false" ht="22.35" hidden="false" customHeight="false" outlineLevel="0" collapsed="false">
      <c r="A29" s="6" t="s">
        <v>41</v>
      </c>
      <c r="B29" s="11" t="n">
        <v>0.5</v>
      </c>
      <c r="C29" s="8" t="s">
        <v>42</v>
      </c>
    </row>
    <row r="30" customFormat="false" ht="15" hidden="false" customHeight="false" outlineLevel="0" collapsed="false">
      <c r="A30" s="6" t="s">
        <v>43</v>
      </c>
      <c r="B30" s="9" t="n">
        <v>50000</v>
      </c>
      <c r="C30" s="8" t="s">
        <v>44</v>
      </c>
    </row>
    <row r="31" customFormat="false" ht="22.35" hidden="false" customHeight="false" outlineLevel="0" collapsed="false">
      <c r="A31" s="6" t="s">
        <v>45</v>
      </c>
      <c r="B31" s="12" t="n">
        <v>0.4</v>
      </c>
      <c r="C31" s="8" t="s">
        <v>46</v>
      </c>
    </row>
    <row r="32" customFormat="false" ht="15" hidden="false" customHeight="false" outlineLevel="0" collapsed="false">
      <c r="A32" s="10"/>
      <c r="B32" s="10"/>
      <c r="C32" s="10"/>
    </row>
    <row r="33" customFormat="false" ht="15" hidden="false" customHeight="false" outlineLevel="0" collapsed="false">
      <c r="A33" s="4" t="s">
        <v>47</v>
      </c>
      <c r="B33" s="5"/>
      <c r="C33" s="5"/>
    </row>
    <row r="34" customFormat="false" ht="22.35" hidden="false" customHeight="false" outlineLevel="0" collapsed="false">
      <c r="A34" s="6" t="s">
        <v>48</v>
      </c>
      <c r="B34" s="9" t="n">
        <v>60000</v>
      </c>
      <c r="C34" s="8" t="s">
        <v>49</v>
      </c>
    </row>
    <row r="35" customFormat="false" ht="15" hidden="false" customHeight="false" outlineLevel="0" collapsed="false">
      <c r="A35" s="6" t="s">
        <v>50</v>
      </c>
      <c r="B35" s="9" t="n">
        <v>2000</v>
      </c>
      <c r="C35" s="8" t="s">
        <v>51</v>
      </c>
    </row>
    <row r="36" customFormat="false" ht="15" hidden="false" customHeight="false" outlineLevel="0" collapsed="false">
      <c r="A36" s="6" t="s">
        <v>52</v>
      </c>
      <c r="B36" s="7" t="n">
        <v>4</v>
      </c>
      <c r="C36" s="8" t="s">
        <v>53</v>
      </c>
    </row>
    <row r="37" customFormat="false" ht="15" hidden="false" customHeight="false" outlineLevel="0" collapsed="false">
      <c r="A37" s="6" t="s">
        <v>54</v>
      </c>
      <c r="B37" s="9" t="n">
        <v>150</v>
      </c>
      <c r="C37" s="8" t="s">
        <v>55</v>
      </c>
    </row>
    <row r="38" customFormat="false" ht="15" hidden="false" customHeight="false" outlineLevel="0" collapsed="false">
      <c r="A38" s="6" t="s">
        <v>56</v>
      </c>
      <c r="B38" s="7" t="n">
        <v>10</v>
      </c>
      <c r="C38" s="8"/>
    </row>
    <row r="39" customFormat="false" ht="15" hidden="false" customHeight="false" outlineLevel="0" collapsed="false">
      <c r="A39" s="10"/>
      <c r="B39" s="10"/>
      <c r="C39" s="10"/>
    </row>
    <row r="40" customFormat="false" ht="15" hidden="false" customHeight="false" outlineLevel="0" collapsed="false">
      <c r="A40" s="4" t="s">
        <v>57</v>
      </c>
      <c r="B40" s="5"/>
      <c r="C40" s="5"/>
    </row>
    <row r="41" customFormat="false" ht="15" hidden="false" customHeight="false" outlineLevel="0" collapsed="false">
      <c r="A41" s="6" t="s">
        <v>58</v>
      </c>
      <c r="B41" s="13" t="n">
        <f aca="false">$B$7*$B$8</f>
        <v>1050</v>
      </c>
      <c r="C41" s="10"/>
    </row>
    <row r="42" customFormat="false" ht="15" hidden="false" customHeight="false" outlineLevel="0" collapsed="false">
      <c r="A42" s="6" t="s">
        <v>59</v>
      </c>
      <c r="B42" s="13" t="n">
        <f aca="false">$B$7*$B$9</f>
        <v>150</v>
      </c>
      <c r="C42" s="10"/>
    </row>
    <row r="43" customFormat="false" ht="15" hidden="false" customHeight="false" outlineLevel="0" collapsed="false">
      <c r="A43" s="6" t="s">
        <v>60</v>
      </c>
      <c r="B43" s="13" t="n">
        <f aca="false">$B$12*$B$13*$B$14</f>
        <v>4560</v>
      </c>
      <c r="C43" s="10"/>
    </row>
    <row r="44" customFormat="false" ht="15" hidden="false" customHeight="false" outlineLevel="0" collapsed="false">
      <c r="A44" s="6" t="s">
        <v>61</v>
      </c>
      <c r="B44" s="13" t="n">
        <f aca="false">$B$15</f>
        <v>1500</v>
      </c>
      <c r="C44" s="10"/>
    </row>
    <row r="45" customFormat="false" ht="15" hidden="false" customHeight="false" outlineLevel="0" collapsed="false">
      <c r="A45" s="6" t="s">
        <v>62</v>
      </c>
      <c r="B45" s="13" t="n">
        <f aca="false">$B$16</f>
        <v>3000</v>
      </c>
      <c r="C45" s="10"/>
    </row>
    <row r="46" customFormat="false" ht="15" hidden="false" customHeight="false" outlineLevel="0" collapsed="false">
      <c r="A46" s="6" t="s">
        <v>63</v>
      </c>
      <c r="B46" s="13" t="n">
        <f aca="false">$B$17</f>
        <v>500</v>
      </c>
      <c r="C46" s="10"/>
    </row>
    <row r="47" customFormat="false" ht="15" hidden="false" customHeight="false" outlineLevel="0" collapsed="false">
      <c r="A47" s="6" t="s">
        <v>64</v>
      </c>
      <c r="B47" s="13" t="n">
        <f aca="false">$B$18</f>
        <v>0</v>
      </c>
      <c r="C47" s="10"/>
    </row>
    <row r="48" customFormat="false" ht="15" hidden="false" customHeight="false" outlineLevel="0" collapsed="false">
      <c r="A48" s="6" t="s">
        <v>65</v>
      </c>
      <c r="B48" s="13" t="n">
        <f aca="false">$B$21*$B$22</f>
        <v>500</v>
      </c>
      <c r="C48" s="10"/>
    </row>
    <row r="49" customFormat="false" ht="15" hidden="false" customHeight="false" outlineLevel="0" collapsed="false">
      <c r="A49" s="6" t="s">
        <v>66</v>
      </c>
      <c r="B49" s="13" t="n">
        <f aca="false">$B$23*$B$24</f>
        <v>480</v>
      </c>
      <c r="C49" s="10"/>
    </row>
    <row r="50" customFormat="false" ht="15" hidden="false" customHeight="false" outlineLevel="0" collapsed="false">
      <c r="A50" s="14" t="s">
        <v>67</v>
      </c>
      <c r="B50" s="15" t="n">
        <f aca="false">SUM(B41:B49)</f>
        <v>11740</v>
      </c>
      <c r="C50" s="16"/>
    </row>
    <row r="51" customFormat="false" ht="15" hidden="false" customHeight="false" outlineLevel="0" collapsed="false">
      <c r="A51" s="10"/>
      <c r="B51" s="10"/>
      <c r="C51" s="10"/>
    </row>
    <row r="52" customFormat="false" ht="15" hidden="false" customHeight="false" outlineLevel="0" collapsed="false">
      <c r="A52" s="4" t="s">
        <v>68</v>
      </c>
      <c r="B52" s="5"/>
      <c r="C52" s="5"/>
    </row>
    <row r="53" customFormat="false" ht="15" hidden="false" customHeight="false" outlineLevel="0" collapsed="false">
      <c r="A53" s="6" t="s">
        <v>69</v>
      </c>
      <c r="B53" s="17" t="n">
        <f aca="false">$B$6*$B$27</f>
        <v>8</v>
      </c>
      <c r="C53" s="10"/>
    </row>
    <row r="54" customFormat="false" ht="15" hidden="false" customHeight="false" outlineLevel="0" collapsed="false">
      <c r="A54" s="6" t="s">
        <v>70</v>
      </c>
      <c r="B54" s="17" t="n">
        <f aca="false">$B$6/$B$28</f>
        <v>2</v>
      </c>
      <c r="C54" s="10"/>
    </row>
    <row r="55" customFormat="false" ht="15" hidden="false" customHeight="false" outlineLevel="0" collapsed="false">
      <c r="A55" s="6" t="s">
        <v>71</v>
      </c>
      <c r="B55" s="13" t="n">
        <f aca="false">$B$53*$B$50</f>
        <v>93920</v>
      </c>
      <c r="C55" s="10"/>
    </row>
    <row r="56" customFormat="false" ht="15" hidden="false" customHeight="false" outlineLevel="0" collapsed="false">
      <c r="A56" s="6" t="s">
        <v>72</v>
      </c>
      <c r="B56" s="13" t="n">
        <f aca="false">$B$29*$B$30</f>
        <v>25000</v>
      </c>
      <c r="C56" s="10"/>
    </row>
    <row r="57" customFormat="false" ht="15" hidden="false" customHeight="false" outlineLevel="0" collapsed="false">
      <c r="A57" s="14" t="s">
        <v>73</v>
      </c>
      <c r="B57" s="15" t="n">
        <f aca="false">$B$55+$B$56</f>
        <v>118920</v>
      </c>
      <c r="C57" s="16"/>
    </row>
    <row r="58" customFormat="false" ht="15" hidden="false" customHeight="false" outlineLevel="0" collapsed="false">
      <c r="A58" s="6" t="s">
        <v>74</v>
      </c>
      <c r="B58" s="13" t="n">
        <f aca="false">$B$54*$B$50</f>
        <v>23480</v>
      </c>
      <c r="C58" s="10"/>
    </row>
    <row r="59" customFormat="false" ht="15" hidden="false" customHeight="false" outlineLevel="0" collapsed="false">
      <c r="A59" s="6" t="s">
        <v>75</v>
      </c>
      <c r="B59" s="13" t="n">
        <f aca="false">$B$29*(1-$B$31)*$B$30</f>
        <v>15000</v>
      </c>
      <c r="C59" s="10"/>
    </row>
    <row r="60" customFormat="false" ht="15" hidden="false" customHeight="false" outlineLevel="0" collapsed="false">
      <c r="A60" s="6" t="s">
        <v>76</v>
      </c>
      <c r="B60" s="13" t="n">
        <f aca="false">$B$6*$B$36*$B$37</f>
        <v>2400</v>
      </c>
      <c r="C60" s="10"/>
    </row>
    <row r="61" customFormat="false" ht="15" hidden="false" customHeight="false" outlineLevel="0" collapsed="false">
      <c r="A61" s="6" t="s">
        <v>77</v>
      </c>
      <c r="B61" s="13" t="n">
        <f aca="false">$B$35</f>
        <v>2000</v>
      </c>
      <c r="C61" s="10"/>
    </row>
    <row r="62" customFormat="false" ht="15" hidden="false" customHeight="false" outlineLevel="0" collapsed="false">
      <c r="A62" s="14" t="s">
        <v>78</v>
      </c>
      <c r="B62" s="15" t="n">
        <f aca="false">$B$58+$B$59+$B$60+$B$61</f>
        <v>42880</v>
      </c>
      <c r="C62" s="16"/>
    </row>
    <row r="63" customFormat="false" ht="15" hidden="false" customHeight="false" outlineLevel="0" collapsed="false">
      <c r="A63" s="10"/>
      <c r="B63" s="10"/>
      <c r="C63" s="10"/>
    </row>
    <row r="64" customFormat="false" ht="15" hidden="false" customHeight="false" outlineLevel="0" collapsed="false">
      <c r="A64" s="4" t="s">
        <v>79</v>
      </c>
      <c r="B64" s="5"/>
      <c r="C64" s="5"/>
    </row>
    <row r="65" customFormat="false" ht="15" hidden="false" customHeight="false" outlineLevel="0" collapsed="false">
      <c r="A65" s="18" t="s">
        <v>80</v>
      </c>
      <c r="B65" s="19" t="n">
        <f aca="false">$B$57-$B$62</f>
        <v>76040</v>
      </c>
      <c r="C65" s="20"/>
    </row>
    <row r="66" customFormat="false" ht="15" hidden="false" customHeight="false" outlineLevel="0" collapsed="false">
      <c r="A66" s="18" t="s">
        <v>81</v>
      </c>
      <c r="B66" s="21" t="n">
        <f aca="false">IFERROR(IF($B$65&gt;0,$B$34/$B$65*12,"No payback"),"No payback")</f>
        <v>9.46870068385061</v>
      </c>
      <c r="C66" s="20"/>
    </row>
    <row r="67" customFormat="false" ht="15" hidden="false" customHeight="false" outlineLevel="0" collapsed="false">
      <c r="A67" s="18" t="s">
        <v>82</v>
      </c>
      <c r="B67" s="19" t="n">
        <f aca="false">$B$65*$B$38-$B$34</f>
        <v>700400</v>
      </c>
      <c r="C67" s="20"/>
    </row>
    <row r="68" customFormat="false" ht="15" hidden="false" customHeight="false" outlineLevel="0" collapsed="false">
      <c r="A68" s="18" t="s">
        <v>83</v>
      </c>
      <c r="B68" s="22" t="n">
        <f aca="false">IFERROR(($B$65*$B$38-$B$34)/$B$34,0)</f>
        <v>11.6733333333333</v>
      </c>
      <c r="C68" s="20"/>
    </row>
    <row r="69" customFormat="false" ht="15" hidden="false" customHeight="false" outlineLevel="0" collapsed="false">
      <c r="A69" s="6" t="s">
        <v>84</v>
      </c>
      <c r="B69" s="17" t="n">
        <f aca="false">$B$53-$B$54</f>
        <v>6</v>
      </c>
      <c r="C69" s="10"/>
    </row>
    <row r="70" customFormat="false" ht="15" hidden="false" customHeight="false" outlineLevel="0" collapsed="false">
      <c r="A70" s="6" t="s">
        <v>85</v>
      </c>
      <c r="B70" s="23" t="n">
        <f aca="false">$B$69*$B$12*$B$13</f>
        <v>288</v>
      </c>
      <c r="C70" s="10"/>
    </row>
    <row r="71" customFormat="false" ht="15" hidden="false" customHeight="false" outlineLevel="0" collapsed="false">
      <c r="A71" s="6" t="s">
        <v>86</v>
      </c>
      <c r="B71" s="23" t="n">
        <f aca="false">$B$69*2*ROUNDUP($B$7/55,0)</f>
        <v>12</v>
      </c>
      <c r="C71" s="8" t="s">
        <v>87</v>
      </c>
    </row>
    <row r="72" customFormat="false" ht="15" hidden="false" customHeight="false" outlineLevel="0" collapsed="false">
      <c r="A72" s="6" t="s">
        <v>88</v>
      </c>
      <c r="B72" s="23" t="n">
        <f aca="false">$B$69*$B$7</f>
        <v>180</v>
      </c>
      <c r="C72" s="10"/>
    </row>
    <row r="73" customFormat="false" ht="15" hidden="false" customHeight="false" outlineLevel="0" collapsed="false">
      <c r="A73" s="10"/>
      <c r="B73" s="10"/>
      <c r="C73" s="10"/>
    </row>
  </sheetData>
  <mergeCells count="1">
    <mergeCell ref="A3:C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24" t="s">
        <v>89</v>
      </c>
    </row>
    <row r="2" customFormat="false" ht="39.55" hidden="false" customHeight="false" outlineLevel="0" collapsed="false">
      <c r="A2" s="25" t="s">
        <v>90</v>
      </c>
    </row>
    <row r="3" customFormat="false" ht="26.85" hidden="false" customHeight="false" outlineLevel="0" collapsed="false">
      <c r="A3" s="25" t="s">
        <v>91</v>
      </c>
    </row>
    <row r="4" customFormat="false" ht="26.85" hidden="false" customHeight="false" outlineLevel="0" collapsed="false">
      <c r="A4" s="25" t="s">
        <v>92</v>
      </c>
    </row>
    <row r="5" customFormat="false" ht="26.85" hidden="false" customHeight="false" outlineLevel="0" collapsed="false">
      <c r="A5" s="25" t="s">
        <v>93</v>
      </c>
    </row>
    <row r="6" customFormat="false" ht="26.85" hidden="false" customHeight="false" outlineLevel="0" collapsed="false">
      <c r="A6" s="25" t="s">
        <v>94</v>
      </c>
    </row>
    <row r="7" customFormat="false" ht="26.85" hidden="false" customHeight="false" outlineLevel="0" collapsed="false">
      <c r="A7" s="25" t="s">
        <v>95</v>
      </c>
    </row>
    <row r="8" customFormat="false" ht="26.85" hidden="false" customHeight="false" outlineLevel="0" collapsed="false">
      <c r="A8" s="25" t="s">
        <v>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2026-10-23T15:20:10Z</dcterms:created>
  <dc:creator>openpyxl</dc:creator>
  <dc:description/>
  <dc:language>en-US</dc:language>
  <cp:lastModifiedBy/>
  <dcterms:modified xsi:type="dcterms:W3CDTF">2026-10-23T15:20:10Z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